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Backupas\SÅF\Mässan\2018\"/>
    </mc:Choice>
  </mc:AlternateContent>
  <xr:revisionPtr revIDLastSave="0" documentId="12_ncr:400001_{8BFBF69C-009A-4FDF-A3EE-258CEB753679}" xr6:coauthVersionLast="31" xr6:coauthVersionMax="31" xr10:uidLastSave="{00000000-0000-0000-0000-000000000000}"/>
  <bookViews>
    <workbookView xWindow="0" yWindow="45" windowWidth="19155" windowHeight="11820" activeTab="2" xr2:uid="{00000000-000D-0000-FFFF-FFFF00000000}"/>
  </bookViews>
  <sheets>
    <sheet name="Dagredovisning" sheetId="1" r:id="rId1"/>
    <sheet name="Redovisning" sheetId="2" r:id="rId2"/>
    <sheet name="Redovisning2" sheetId="3" r:id="rId3"/>
  </sheets>
  <definedNames>
    <definedName name="_xlnm.Print_Area" localSheetId="0">Dagredovisning!$A$1:$O$35</definedName>
    <definedName name="_xlnm.Print_Area" localSheetId="1">Redovisning!$A$1:$C$18</definedName>
  </definedNames>
  <calcPr calcId="162913"/>
</workbook>
</file>

<file path=xl/calcChain.xml><?xml version="1.0" encoding="utf-8"?>
<calcChain xmlns="http://schemas.openxmlformats.org/spreadsheetml/2006/main">
  <c r="AD13" i="1" l="1"/>
  <c r="AD12" i="1"/>
  <c r="AC12" i="1"/>
  <c r="Y12" i="1"/>
  <c r="B21" i="3" l="1"/>
  <c r="B14" i="3"/>
  <c r="B23" i="3" s="1"/>
  <c r="B3" i="3"/>
  <c r="B2" i="3"/>
  <c r="B8" i="3" s="1"/>
  <c r="C18" i="2"/>
  <c r="M47" i="1" l="1"/>
  <c r="G41" i="1"/>
  <c r="D41" i="1"/>
  <c r="L26" i="1" l="1"/>
  <c r="E26" i="1"/>
  <c r="K26" i="1"/>
  <c r="C13" i="2" l="1"/>
  <c r="S31" i="1"/>
  <c r="C22" i="2" s="1"/>
  <c r="L29" i="1"/>
  <c r="L27" i="1"/>
  <c r="D24" i="2"/>
  <c r="U47" i="1"/>
  <c r="M24" i="1"/>
  <c r="D23" i="2" s="1"/>
  <c r="L28" i="1"/>
  <c r="O26" i="1"/>
  <c r="O29" i="1"/>
  <c r="K39" i="1"/>
  <c r="D21" i="1"/>
  <c r="F21" i="1"/>
  <c r="H21" i="1"/>
  <c r="K21" i="1"/>
  <c r="B21" i="1"/>
  <c r="L19" i="1"/>
  <c r="L20" i="1"/>
  <c r="O20" i="1"/>
  <c r="L21" i="1" l="1"/>
  <c r="K40" i="1"/>
  <c r="R36" i="1" l="1"/>
  <c r="I28" i="1"/>
  <c r="I26" i="1"/>
  <c r="I18" i="1"/>
  <c r="I20" i="1"/>
  <c r="H41" i="1"/>
  <c r="I41" i="1"/>
  <c r="J41" i="1"/>
  <c r="I40" i="1"/>
  <c r="J40" i="1"/>
  <c r="J28" i="1"/>
  <c r="V28" i="1" s="1"/>
  <c r="J26" i="1"/>
  <c r="J13" i="1"/>
  <c r="J20" i="1"/>
  <c r="J21" i="1" s="1"/>
  <c r="J2" i="1"/>
  <c r="I21" i="1" l="1"/>
  <c r="M19" i="1"/>
  <c r="N19" i="1" s="1"/>
  <c r="M18" i="1"/>
  <c r="N18" i="1" s="1"/>
  <c r="G26" i="1"/>
  <c r="M11" i="1"/>
  <c r="G20" i="1"/>
  <c r="G21" i="1" s="1"/>
  <c r="I38" i="1" l="1"/>
  <c r="K38" i="1"/>
  <c r="G38" i="1"/>
  <c r="F38" i="1"/>
  <c r="F50" i="1"/>
  <c r="G50" i="1"/>
  <c r="G40" i="1"/>
  <c r="E41" i="1" l="1"/>
  <c r="E28" i="1"/>
  <c r="U28" i="1" s="1"/>
  <c r="N28" i="1" s="1"/>
  <c r="S28" i="1" s="1"/>
  <c r="E20" i="1"/>
  <c r="E21" i="1" s="1"/>
  <c r="F29" i="1"/>
  <c r="G29" i="1"/>
  <c r="H29" i="1"/>
  <c r="I29" i="1"/>
  <c r="J29" i="1"/>
  <c r="K29" i="1"/>
  <c r="D29" i="1"/>
  <c r="S23" i="1"/>
  <c r="M23" i="1"/>
  <c r="R23" i="1" l="1"/>
  <c r="T23" i="1"/>
  <c r="E29" i="1"/>
  <c r="E40" i="1"/>
  <c r="D39" i="1"/>
  <c r="D40" i="1" l="1"/>
  <c r="C40" i="1"/>
  <c r="C10" i="1" l="1"/>
  <c r="B29" i="1"/>
  <c r="C29" i="1"/>
  <c r="C21" i="1"/>
  <c r="M39" i="1"/>
  <c r="M28" i="1"/>
  <c r="L13" i="2"/>
  <c r="K10" i="1"/>
  <c r="K33" i="1" s="1"/>
  <c r="K50" i="1"/>
  <c r="M27" i="1"/>
  <c r="R27" i="1" s="1"/>
  <c r="B50" i="1"/>
  <c r="E50" i="1"/>
  <c r="H50" i="1"/>
  <c r="J50" i="1"/>
  <c r="M45" i="1"/>
  <c r="I50" i="1"/>
  <c r="C16" i="1"/>
  <c r="D16" i="1"/>
  <c r="E16" i="1"/>
  <c r="F16" i="1"/>
  <c r="G16" i="1"/>
  <c r="H16" i="1"/>
  <c r="I16" i="1"/>
  <c r="J16" i="1"/>
  <c r="K16" i="1"/>
  <c r="B16" i="1"/>
  <c r="C43" i="1"/>
  <c r="C46" i="1" s="1"/>
  <c r="D43" i="1"/>
  <c r="D46" i="1" s="1"/>
  <c r="E43" i="1"/>
  <c r="E46" i="1" s="1"/>
  <c r="F43" i="1"/>
  <c r="F46" i="1" s="1"/>
  <c r="G43" i="1"/>
  <c r="G46" i="1" s="1"/>
  <c r="H43" i="1"/>
  <c r="H46" i="1" s="1"/>
  <c r="I43" i="1"/>
  <c r="K43" i="1"/>
  <c r="K46" i="1" s="1"/>
  <c r="M48" i="1"/>
  <c r="M40" i="1"/>
  <c r="M41" i="1"/>
  <c r="M42" i="1"/>
  <c r="B43" i="1"/>
  <c r="B46" i="1" s="1"/>
  <c r="B10" i="1"/>
  <c r="B33" i="1" l="1"/>
  <c r="C33" i="1"/>
  <c r="R28" i="1"/>
  <c r="M16" i="1"/>
  <c r="R21" i="1" s="1"/>
  <c r="N27" i="1"/>
  <c r="S27" i="1" s="1"/>
  <c r="T27" i="1" s="1"/>
  <c r="M26" i="1"/>
  <c r="I46" i="1"/>
  <c r="J43" i="1"/>
  <c r="J46" i="1" s="1"/>
  <c r="M29" i="1"/>
  <c r="E25" i="2" s="1"/>
  <c r="T28" i="1" l="1"/>
  <c r="M21" i="1"/>
  <c r="R26" i="1"/>
  <c r="R29" i="1" s="1"/>
  <c r="N26" i="1"/>
  <c r="N29" i="1" s="1"/>
  <c r="B52" i="1"/>
  <c r="B35" i="1"/>
  <c r="M43" i="1"/>
  <c r="M52" i="1" s="1"/>
  <c r="L10" i="1"/>
  <c r="L33" i="1" s="1"/>
  <c r="L52" i="1" s="1"/>
  <c r="C6" i="2"/>
  <c r="C15" i="2" s="1"/>
  <c r="M31" i="1"/>
  <c r="E21" i="2" l="1"/>
  <c r="R32" i="1"/>
  <c r="S26" i="1"/>
  <c r="S29" i="1" s="1"/>
  <c r="C25" i="2" s="1"/>
  <c r="T26" i="1" l="1"/>
  <c r="T29" i="1" s="1"/>
  <c r="R37" i="1"/>
  <c r="S32" i="1"/>
  <c r="C21" i="2" s="1"/>
  <c r="D21" i="2" s="1"/>
  <c r="C32" i="2" s="1"/>
  <c r="R34" i="1"/>
  <c r="T32" i="1" l="1"/>
  <c r="S10" i="1"/>
  <c r="Q10" i="1"/>
  <c r="O10" i="1"/>
  <c r="D10" i="1"/>
  <c r="D33" i="1" s="1"/>
  <c r="E10" i="1"/>
  <c r="E33" i="1" s="1"/>
  <c r="F10" i="1"/>
  <c r="F33" i="1" s="1"/>
  <c r="F52" i="1" s="1"/>
  <c r="G10" i="1"/>
  <c r="G33" i="1" s="1"/>
  <c r="G52" i="1" s="1"/>
  <c r="H10" i="1"/>
  <c r="H33" i="1" s="1"/>
  <c r="H35" i="1" s="1"/>
  <c r="I10" i="1"/>
  <c r="I33" i="1" s="1"/>
  <c r="J10" i="1"/>
  <c r="J33" i="1" s="1"/>
  <c r="C52" i="1"/>
  <c r="J35" i="1" l="1"/>
  <c r="C35" i="1"/>
  <c r="H52" i="1"/>
  <c r="D35" i="1"/>
  <c r="D52" i="1"/>
  <c r="E52" i="1"/>
  <c r="E35" i="1"/>
  <c r="I52" i="1"/>
  <c r="I35" i="1"/>
  <c r="F35" i="1"/>
  <c r="G35" i="1"/>
  <c r="M10" i="1"/>
  <c r="R10" i="1"/>
  <c r="R20" i="1" l="1"/>
  <c r="C26" i="2"/>
  <c r="E26" i="2"/>
  <c r="M33" i="1"/>
  <c r="J52" i="1"/>
  <c r="K35" i="1"/>
  <c r="L35" i="1" s="1"/>
  <c r="K52" i="1"/>
  <c r="R31" i="1"/>
  <c r="E22" i="2"/>
  <c r="C20" i="2"/>
  <c r="R33" i="1" l="1"/>
  <c r="M35" i="1"/>
  <c r="C27" i="2"/>
  <c r="T31" i="1" l="1"/>
  <c r="D22" i="2" s="1"/>
  <c r="C33" i="2" s="1"/>
  <c r="M20" i="1" l="1"/>
  <c r="N20" i="1" s="1"/>
  <c r="R38" i="1"/>
  <c r="D25" i="2"/>
  <c r="C29" i="2" l="1"/>
  <c r="C34" i="2" s="1"/>
</calcChain>
</file>

<file path=xl/sharedStrings.xml><?xml version="1.0" encoding="utf-8"?>
<sst xmlns="http://schemas.openxmlformats.org/spreadsheetml/2006/main" count="131" uniqueCount="91">
  <si>
    <t>SÅF-prylar</t>
  </si>
  <si>
    <t>Medlemsavgifter</t>
  </si>
  <si>
    <t>Totalt</t>
  </si>
  <si>
    <t>Datum</t>
  </si>
  <si>
    <t>Hem</t>
  </si>
  <si>
    <t>Pg</t>
  </si>
  <si>
    <t>Summa</t>
  </si>
  <si>
    <t>Antal medlemmmar</t>
  </si>
  <si>
    <t>Utlägg</t>
  </si>
  <si>
    <t>Försäljning</t>
  </si>
  <si>
    <t>Medlemmar</t>
  </si>
  <si>
    <t>Netto</t>
  </si>
  <si>
    <t>Ejdern</t>
  </si>
  <si>
    <t>Mat till monterpersonal</t>
  </si>
  <si>
    <t>Totalt kostnader</t>
  </si>
  <si>
    <t>Intäkter</t>
  </si>
  <si>
    <t>SÅF</t>
  </si>
  <si>
    <t>Summa intäkter</t>
  </si>
  <si>
    <t>Växelkassa morgon</t>
  </si>
  <si>
    <t>Utjämning</t>
  </si>
  <si>
    <t>Enskilda medlemmar</t>
  </si>
  <si>
    <t>Familjemedlemmar</t>
  </si>
  <si>
    <t>Brattberg</t>
  </si>
  <si>
    <t>Bränsle Transport av grejer Sven Jönsson</t>
  </si>
  <si>
    <t>Hans Brattberg</t>
  </si>
  <si>
    <t>Redovisa till extern</t>
  </si>
  <si>
    <t>Överskott att redovisa till föreningens konto</t>
  </si>
  <si>
    <t>Pellets</t>
  </si>
  <si>
    <t>Swish</t>
  </si>
  <si>
    <t>Redovisa till Brattberg</t>
  </si>
  <si>
    <t>Liten putt putt</t>
  </si>
  <si>
    <t>skortstensbåt</t>
  </si>
  <si>
    <t>Danielle tot</t>
  </si>
  <si>
    <t>Danielle</t>
  </si>
  <si>
    <t>Swish Per</t>
  </si>
  <si>
    <t>Swish Maggan</t>
  </si>
  <si>
    <t>Swish Sven</t>
  </si>
  <si>
    <t>presumtiva</t>
  </si>
  <si>
    <t>Summa kassa kväll</t>
  </si>
  <si>
    <t>Pengar dagens slut</t>
  </si>
  <si>
    <t>Diff(- är för lite pengar)</t>
  </si>
  <si>
    <t>Tot</t>
  </si>
  <si>
    <t>Extern</t>
  </si>
  <si>
    <t>Tot båtar</t>
  </si>
  <si>
    <t>Putt-putt båtar</t>
  </si>
  <si>
    <t>Redovisa till Ejdern</t>
  </si>
  <si>
    <t>Värmemaskin</t>
  </si>
  <si>
    <t>TUUT</t>
  </si>
  <si>
    <t>Stor båt</t>
  </si>
  <si>
    <t>Summa (-är något ej avprickat)</t>
  </si>
  <si>
    <t>Allt för sjön 2018</t>
  </si>
  <si>
    <t>SÅF-försäljning</t>
  </si>
  <si>
    <t>Utlandsboende</t>
  </si>
  <si>
    <t>Trafik Putt-puttbåtar</t>
  </si>
  <si>
    <t>Trafik</t>
  </si>
  <si>
    <t>Lunchkuponger</t>
  </si>
  <si>
    <t>Parkering Sven</t>
  </si>
  <si>
    <t>Maggans pengar</t>
  </si>
  <si>
    <t>Svens DVD Boxholm</t>
  </si>
  <si>
    <t>Sven</t>
  </si>
  <si>
    <t>S:a 2-9</t>
  </si>
  <si>
    <t>Antal sålda</t>
  </si>
  <si>
    <t>Levererade</t>
  </si>
  <si>
    <t>Kvar</t>
  </si>
  <si>
    <t>Sålda enligt Dani</t>
  </si>
  <si>
    <t>S:a 10-11 + utj</t>
  </si>
  <si>
    <t>Danielle sen lunch</t>
  </si>
  <si>
    <t>Sven, såld privat DVD</t>
  </si>
  <si>
    <t>Betalt kontant 12/3</t>
  </si>
  <si>
    <t>Faktura</t>
  </si>
  <si>
    <t>Faktureras av Danielle</t>
  </si>
  <si>
    <t>Kontant 16 mars</t>
  </si>
  <si>
    <t>Medlemsavgifter 6 enskilda, 9 familj  alla nya</t>
  </si>
  <si>
    <t>Transport o parkering</t>
  </si>
  <si>
    <t>Swishat 13/3</t>
  </si>
  <si>
    <t>Kontant</t>
  </si>
  <si>
    <t>Kvitton</t>
  </si>
  <si>
    <t>växelkassa kväll</t>
  </si>
  <si>
    <t>675:- att betala t</t>
  </si>
  <si>
    <t>Trafik's båtar</t>
  </si>
  <si>
    <t>Intäkter under Mässan</t>
  </si>
  <si>
    <t>Intäkter årsmötet</t>
  </si>
  <si>
    <t>Redovisat till Ejdern</t>
  </si>
  <si>
    <t>Redovisat till Brattberg</t>
  </si>
  <si>
    <t>Redovisat till Sven, såld privat DVD</t>
  </si>
  <si>
    <t>Utgifter, kontant betalda</t>
  </si>
  <si>
    <t>Att redovisa till SÅF</t>
  </si>
  <si>
    <t>Varav 675:- avser ersättning till Trafik för 9 putt-putt- båtar 
Daniella Bågenhjelm skickar faktura på försäljninga av hennes båtar</t>
  </si>
  <si>
    <t>2100 betalda via faktura</t>
  </si>
  <si>
    <t>se nedan</t>
  </si>
  <si>
    <t xml:space="preserve">Danielles faktura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</si>
</sst>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ill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0" xfId="0" applyFill="1"/>
    <xf numFmtId="3" fontId="0" fillId="0" borderId="0" xfId="0" applyNumberFormat="1" applyFill="1"/>
    <xf numFmtId="3" fontId="0" fillId="0" borderId="0" xfId="0" applyNumberFormat="1"/>
    <xf numFmtId="3" fontId="0" fillId="0" borderId="2" xfId="0" applyNumberFormat="1" applyFill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0" xfId="0" applyNumberFormat="1" applyFill="1" applyBorder="1"/>
    <xf numFmtId="0" fontId="0" fillId="0" borderId="0" xfId="0" applyFont="1" applyFill="1"/>
    <xf numFmtId="0" fontId="0" fillId="0" borderId="0" xfId="0" applyFill="1" applyBorder="1"/>
    <xf numFmtId="3" fontId="1" fillId="0" borderId="0" xfId="0" applyNumberFormat="1" applyFont="1" applyFill="1"/>
    <xf numFmtId="3" fontId="0" fillId="0" borderId="0" xfId="0" applyNumberFormat="1" applyFont="1" applyFill="1"/>
    <xf numFmtId="3" fontId="1" fillId="0" borderId="7" xfId="0" applyNumberFormat="1" applyFont="1" applyFill="1" applyBorder="1"/>
    <xf numFmtId="0" fontId="0" fillId="2" borderId="0" xfId="0" applyFont="1" applyFill="1"/>
    <xf numFmtId="16" fontId="0" fillId="0" borderId="0" xfId="0" applyNumberFormat="1" applyFont="1"/>
    <xf numFmtId="0" fontId="0" fillId="4" borderId="0" xfId="0" applyFill="1"/>
    <xf numFmtId="0" fontId="1" fillId="2" borderId="0" xfId="0" applyFont="1" applyFill="1"/>
    <xf numFmtId="0" fontId="0" fillId="0" borderId="0" xfId="0" applyAlignment="1">
      <alignment wrapText="1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1"/>
  <sheetViews>
    <sheetView workbookViewId="0">
      <pane ySplit="1" topLeftCell="A8" activePane="bottomLeft" state="frozen"/>
      <selection pane="bottomLeft" activeCell="AD14" sqref="AD14"/>
    </sheetView>
  </sheetViews>
  <sheetFormatPr defaultRowHeight="15" x14ac:dyDescent="0.25"/>
  <cols>
    <col min="1" max="1" width="28.42578125" bestFit="1" customWidth="1"/>
    <col min="2" max="3" width="5" bestFit="1" customWidth="1"/>
    <col min="4" max="4" width="5.7109375" bestFit="1" customWidth="1"/>
    <col min="5" max="6" width="5" bestFit="1" customWidth="1"/>
    <col min="7" max="7" width="6" style="5" bestFit="1" customWidth="1"/>
    <col min="8" max="8" width="5.7109375" style="5" bestFit="1" customWidth="1"/>
    <col min="9" max="11" width="5" bestFit="1" customWidth="1"/>
    <col min="12" max="12" width="10.28515625" style="3" bestFit="1" customWidth="1"/>
    <col min="13" max="13" width="6.7109375" bestFit="1" customWidth="1"/>
    <col min="14" max="14" width="10.7109375" bestFit="1" customWidth="1"/>
    <col min="15" max="15" width="15.85546875" bestFit="1" customWidth="1"/>
    <col min="16" max="16" width="4.85546875" bestFit="1" customWidth="1"/>
    <col min="17" max="17" width="11.85546875" bestFit="1" customWidth="1"/>
    <col min="18" max="18" width="6" bestFit="1" customWidth="1"/>
    <col min="19" max="19" width="5" bestFit="1" customWidth="1"/>
    <col min="20" max="20" width="6.7109375" bestFit="1" customWidth="1"/>
    <col min="21" max="21" width="7.140625" bestFit="1" customWidth="1"/>
    <col min="22" max="22" width="13.140625" bestFit="1" customWidth="1"/>
    <col min="24" max="24" width="4" bestFit="1" customWidth="1"/>
  </cols>
  <sheetData>
    <row r="1" spans="1:30" s="1" customFormat="1" x14ac:dyDescent="0.25">
      <c r="A1" s="1" t="s">
        <v>3</v>
      </c>
      <c r="B1" s="1">
        <v>2</v>
      </c>
      <c r="C1" s="1">
        <v>3</v>
      </c>
      <c r="D1" s="1">
        <v>4</v>
      </c>
      <c r="E1" s="1">
        <v>5</v>
      </c>
      <c r="F1" s="4">
        <v>6</v>
      </c>
      <c r="G1" s="4">
        <v>7</v>
      </c>
      <c r="H1" s="4">
        <v>8</v>
      </c>
      <c r="I1" s="1">
        <v>9</v>
      </c>
      <c r="J1" s="1">
        <v>10</v>
      </c>
      <c r="K1" s="1">
        <v>11</v>
      </c>
      <c r="L1" s="37" t="s">
        <v>19</v>
      </c>
    </row>
    <row r="2" spans="1:30" s="2" customFormat="1" x14ac:dyDescent="0.25">
      <c r="A2" s="2" t="s">
        <v>51</v>
      </c>
      <c r="C2" s="2">
        <v>150</v>
      </c>
      <c r="E2">
        <v>120</v>
      </c>
      <c r="F2" s="29"/>
      <c r="G2" s="29">
        <v>70</v>
      </c>
      <c r="H2" s="29"/>
      <c r="I2" s="2">
        <v>35</v>
      </c>
      <c r="J2" s="2">
        <f>4*35</f>
        <v>140</v>
      </c>
      <c r="L2" s="34"/>
    </row>
    <row r="3" spans="1:30" x14ac:dyDescent="0.25">
      <c r="C3">
        <v>120</v>
      </c>
      <c r="E3">
        <v>150</v>
      </c>
      <c r="G3" s="5">
        <v>10</v>
      </c>
      <c r="I3" s="5">
        <v>25</v>
      </c>
      <c r="J3" s="5">
        <v>30</v>
      </c>
      <c r="K3" s="5"/>
    </row>
    <row r="4" spans="1:30" x14ac:dyDescent="0.25">
      <c r="C4">
        <v>120</v>
      </c>
      <c r="G4" s="5">
        <v>150</v>
      </c>
      <c r="I4" s="5">
        <v>240</v>
      </c>
      <c r="J4" s="5"/>
      <c r="K4" s="5"/>
    </row>
    <row r="5" spans="1:30" x14ac:dyDescent="0.25">
      <c r="C5">
        <v>100</v>
      </c>
      <c r="I5" s="5">
        <v>240</v>
      </c>
    </row>
    <row r="9" spans="1:30" s="3" customFormat="1" x14ac:dyDescent="0.25">
      <c r="A9" s="3" t="s">
        <v>19</v>
      </c>
    </row>
    <row r="10" spans="1:30" s="1" customFormat="1" x14ac:dyDescent="0.25">
      <c r="A10" s="1" t="s">
        <v>0</v>
      </c>
      <c r="B10" s="1">
        <f>SUM(B3:B9)</f>
        <v>0</v>
      </c>
      <c r="C10" s="1">
        <f>SUM(C2:C9)</f>
        <v>490</v>
      </c>
      <c r="D10" s="1">
        <f t="shared" ref="D10:L10" si="0">SUM(D3:D9)</f>
        <v>0</v>
      </c>
      <c r="E10" s="1">
        <f t="shared" si="0"/>
        <v>150</v>
      </c>
      <c r="F10" s="1">
        <f t="shared" si="0"/>
        <v>0</v>
      </c>
      <c r="G10" s="4">
        <f t="shared" si="0"/>
        <v>160</v>
      </c>
      <c r="H10" s="4">
        <f t="shared" si="0"/>
        <v>0</v>
      </c>
      <c r="I10" s="1">
        <f t="shared" si="0"/>
        <v>505</v>
      </c>
      <c r="J10" s="1">
        <f t="shared" si="0"/>
        <v>30</v>
      </c>
      <c r="K10" s="1">
        <f t="shared" si="0"/>
        <v>0</v>
      </c>
      <c r="L10" s="37">
        <f t="shared" si="0"/>
        <v>0</v>
      </c>
      <c r="M10" s="1">
        <f>SUM(B10:L10)</f>
        <v>1335</v>
      </c>
      <c r="O10" s="1">
        <f>SUM(O3:O9)</f>
        <v>0</v>
      </c>
      <c r="Q10" s="1">
        <f>SUM(Q3:Q9)</f>
        <v>0</v>
      </c>
      <c r="R10" s="1">
        <f>SUM(O10:Q10)</f>
        <v>0</v>
      </c>
      <c r="S10" s="1">
        <f>SUM(S3:S9)</f>
        <v>0</v>
      </c>
    </row>
    <row r="11" spans="1:30" s="2" customFormat="1" x14ac:dyDescent="0.25">
      <c r="A11" t="s">
        <v>7</v>
      </c>
      <c r="B11"/>
      <c r="D11" s="2">
        <v>3</v>
      </c>
      <c r="E11" s="2">
        <v>1</v>
      </c>
      <c r="G11" s="29">
        <v>1</v>
      </c>
      <c r="H11" s="29">
        <v>3</v>
      </c>
      <c r="I11" s="29">
        <v>2</v>
      </c>
      <c r="J11" s="2">
        <v>3</v>
      </c>
      <c r="K11" s="2">
        <v>2</v>
      </c>
      <c r="L11" s="34"/>
      <c r="M11" s="1">
        <f>SUM(B11:L11)</f>
        <v>15</v>
      </c>
      <c r="Q11"/>
    </row>
    <row r="12" spans="1:30" x14ac:dyDescent="0.25">
      <c r="A12" t="s">
        <v>20</v>
      </c>
      <c r="D12">
        <v>150</v>
      </c>
      <c r="E12">
        <v>150</v>
      </c>
      <c r="H12" s="5">
        <v>450</v>
      </c>
      <c r="I12" s="5"/>
      <c r="K12">
        <v>150</v>
      </c>
      <c r="M12" s="2"/>
      <c r="W12" s="2">
        <v>480</v>
      </c>
      <c r="X12" s="2">
        <v>720</v>
      </c>
      <c r="Y12" s="2">
        <f>3*240</f>
        <v>720</v>
      </c>
      <c r="Z12" s="2"/>
      <c r="AA12" s="29">
        <v>240</v>
      </c>
      <c r="AB12" s="29">
        <v>240</v>
      </c>
      <c r="AC12" s="29">
        <f>3*240</f>
        <v>720</v>
      </c>
      <c r="AD12">
        <f>SUM(W12:AC12)</f>
        <v>3120</v>
      </c>
    </row>
    <row r="13" spans="1:30" x14ac:dyDescent="0.25">
      <c r="A13" t="s">
        <v>21</v>
      </c>
      <c r="D13">
        <v>350</v>
      </c>
      <c r="G13" s="5">
        <v>175</v>
      </c>
      <c r="I13">
        <v>350</v>
      </c>
      <c r="J13">
        <f>175*3</f>
        <v>525</v>
      </c>
      <c r="K13">
        <v>175</v>
      </c>
      <c r="M13" s="2"/>
      <c r="AD13">
        <f>AD12/240</f>
        <v>13</v>
      </c>
    </row>
    <row r="14" spans="1:30" x14ac:dyDescent="0.25">
      <c r="A14" t="s">
        <v>52</v>
      </c>
      <c r="M14" s="2"/>
    </row>
    <row r="15" spans="1:30" x14ac:dyDescent="0.25">
      <c r="A15" t="s">
        <v>37</v>
      </c>
      <c r="M15" s="2"/>
    </row>
    <row r="16" spans="1:30" s="1" customFormat="1" x14ac:dyDescent="0.25">
      <c r="A16" s="1" t="s">
        <v>1</v>
      </c>
      <c r="B16" s="1">
        <f t="shared" ref="B16:K16" si="1">SUM(B12:B13)</f>
        <v>0</v>
      </c>
      <c r="C16" s="1">
        <f t="shared" si="1"/>
        <v>0</v>
      </c>
      <c r="D16" s="1">
        <f t="shared" si="1"/>
        <v>500</v>
      </c>
      <c r="E16" s="1">
        <f t="shared" si="1"/>
        <v>150</v>
      </c>
      <c r="F16" s="1">
        <f t="shared" si="1"/>
        <v>0</v>
      </c>
      <c r="G16" s="1">
        <f t="shared" si="1"/>
        <v>175</v>
      </c>
      <c r="H16" s="1">
        <f t="shared" si="1"/>
        <v>450</v>
      </c>
      <c r="I16" s="1">
        <f t="shared" si="1"/>
        <v>350</v>
      </c>
      <c r="J16" s="1">
        <f t="shared" si="1"/>
        <v>525</v>
      </c>
      <c r="K16" s="1">
        <f t="shared" si="1"/>
        <v>325</v>
      </c>
      <c r="L16" s="37"/>
      <c r="M16" s="1">
        <f>SUM(B16:K16)</f>
        <v>2475</v>
      </c>
    </row>
    <row r="17" spans="1:22" x14ac:dyDescent="0.25">
      <c r="M17" s="1"/>
      <c r="N17" t="s">
        <v>61</v>
      </c>
      <c r="O17" t="s">
        <v>62</v>
      </c>
      <c r="P17" t="s">
        <v>63</v>
      </c>
    </row>
    <row r="18" spans="1:22" x14ac:dyDescent="0.25">
      <c r="A18" t="s">
        <v>46</v>
      </c>
      <c r="C18">
        <v>45</v>
      </c>
      <c r="E18">
        <v>90</v>
      </c>
      <c r="G18" s="5">
        <v>90</v>
      </c>
      <c r="I18">
        <f>3*45</f>
        <v>135</v>
      </c>
      <c r="M18" s="2">
        <f>SUM(B18:L18)</f>
        <v>360</v>
      </c>
      <c r="N18">
        <f>M18/45</f>
        <v>8</v>
      </c>
      <c r="O18" s="2">
        <v>20</v>
      </c>
      <c r="P18">
        <v>12</v>
      </c>
    </row>
    <row r="19" spans="1:22" s="1" customFormat="1" x14ac:dyDescent="0.25">
      <c r="A19" t="s">
        <v>27</v>
      </c>
      <c r="B19"/>
      <c r="C19"/>
      <c r="D19"/>
      <c r="E19"/>
      <c r="F19"/>
      <c r="G19" s="5"/>
      <c r="H19" s="5"/>
      <c r="I19"/>
      <c r="J19"/>
      <c r="K19"/>
      <c r="L19" s="3">
        <f>2*35</f>
        <v>70</v>
      </c>
      <c r="M19" s="2">
        <f>SUM(B19:L19)</f>
        <v>70</v>
      </c>
      <c r="N19" s="1">
        <f>M19/35</f>
        <v>2</v>
      </c>
      <c r="O19" s="2">
        <v>10</v>
      </c>
      <c r="P19" s="1">
        <v>8</v>
      </c>
    </row>
    <row r="20" spans="1:22" s="1" customFormat="1" x14ac:dyDescent="0.25">
      <c r="A20" t="s">
        <v>47</v>
      </c>
      <c r="B20"/>
      <c r="C20">
        <v>160</v>
      </c>
      <c r="D20"/>
      <c r="E20">
        <f>4*80</f>
        <v>320</v>
      </c>
      <c r="F20"/>
      <c r="G20" s="5">
        <f>5*80</f>
        <v>400</v>
      </c>
      <c r="H20" s="5">
        <v>80</v>
      </c>
      <c r="I20">
        <f>7*80</f>
        <v>560</v>
      </c>
      <c r="J20">
        <f>4*80</f>
        <v>320</v>
      </c>
      <c r="K20">
        <v>80</v>
      </c>
      <c r="L20" s="3">
        <f>2*80</f>
        <v>160</v>
      </c>
      <c r="M20" s="2">
        <f>SUM(B20:L20)</f>
        <v>2080</v>
      </c>
      <c r="N20" s="1">
        <f>M20/80</f>
        <v>26</v>
      </c>
      <c r="O20" s="2">
        <f>20+6+8</f>
        <v>34</v>
      </c>
      <c r="P20" s="1">
        <v>8</v>
      </c>
      <c r="Q20" s="2" t="s">
        <v>9</v>
      </c>
      <c r="R20" s="2">
        <f>M10</f>
        <v>1335</v>
      </c>
    </row>
    <row r="21" spans="1:22" x14ac:dyDescent="0.25">
      <c r="A21" s="1" t="s">
        <v>24</v>
      </c>
      <c r="B21" s="1">
        <f>SUM(B18:B20)</f>
        <v>0</v>
      </c>
      <c r="C21" s="1">
        <f>SUM(C18:C20)</f>
        <v>205</v>
      </c>
      <c r="D21" s="1">
        <f t="shared" ref="D21:L21" si="2">SUM(D18:D20)</f>
        <v>0</v>
      </c>
      <c r="E21" s="1">
        <f t="shared" si="2"/>
        <v>410</v>
      </c>
      <c r="F21" s="1">
        <f t="shared" si="2"/>
        <v>0</v>
      </c>
      <c r="G21" s="1">
        <f t="shared" si="2"/>
        <v>490</v>
      </c>
      <c r="H21" s="1">
        <f t="shared" si="2"/>
        <v>80</v>
      </c>
      <c r="I21" s="1">
        <f t="shared" si="2"/>
        <v>695</v>
      </c>
      <c r="J21" s="1">
        <f t="shared" si="2"/>
        <v>320</v>
      </c>
      <c r="K21" s="1">
        <f t="shared" si="2"/>
        <v>80</v>
      </c>
      <c r="L21" s="37">
        <f t="shared" si="2"/>
        <v>230</v>
      </c>
      <c r="M21" s="1">
        <f>SUM(B21:L21)</f>
        <v>2510</v>
      </c>
      <c r="Q21" t="s">
        <v>10</v>
      </c>
      <c r="R21">
        <f>M16</f>
        <v>2475</v>
      </c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7"/>
      <c r="M22" s="1"/>
    </row>
    <row r="23" spans="1:22" x14ac:dyDescent="0.25">
      <c r="A23" s="1" t="s">
        <v>53</v>
      </c>
      <c r="B23" s="1">
        <v>200</v>
      </c>
      <c r="C23" s="1">
        <v>700</v>
      </c>
      <c r="D23" s="1"/>
      <c r="E23" s="1"/>
      <c r="F23" s="1"/>
      <c r="G23" s="1"/>
      <c r="H23" s="1"/>
      <c r="I23" s="1"/>
      <c r="J23" s="1"/>
      <c r="K23" s="1"/>
      <c r="L23" s="37"/>
      <c r="M23" s="1">
        <f>SUM(B23:L23)</f>
        <v>900</v>
      </c>
      <c r="Q23" t="s">
        <v>54</v>
      </c>
      <c r="R23">
        <f>M23</f>
        <v>900</v>
      </c>
      <c r="S23">
        <f>9*25</f>
        <v>225</v>
      </c>
      <c r="T23">
        <f>R23-S23</f>
        <v>675</v>
      </c>
    </row>
    <row r="24" spans="1:22" x14ac:dyDescent="0.25">
      <c r="A24" s="1" t="s">
        <v>58</v>
      </c>
      <c r="B24" s="1"/>
      <c r="C24" s="1"/>
      <c r="D24" s="1"/>
      <c r="E24" s="1"/>
      <c r="F24" s="1"/>
      <c r="G24" s="1"/>
      <c r="H24" s="1"/>
      <c r="I24" s="1"/>
      <c r="J24" s="4">
        <v>150</v>
      </c>
      <c r="K24" s="1"/>
      <c r="L24" s="37"/>
      <c r="M24" s="1">
        <f>SUM(J24:L24)</f>
        <v>150</v>
      </c>
      <c r="R24">
        <v>150</v>
      </c>
    </row>
    <row r="25" spans="1:22" x14ac:dyDescent="0.25">
      <c r="A25" s="1"/>
      <c r="B25" s="1"/>
      <c r="C25" s="1"/>
      <c r="D25" s="1"/>
      <c r="E25" s="1"/>
      <c r="F25" s="1"/>
      <c r="G25" s="4"/>
      <c r="H25" s="4"/>
      <c r="I25" s="1"/>
      <c r="J25" s="1"/>
      <c r="K25" s="1"/>
      <c r="L25" s="37"/>
      <c r="M25" s="1"/>
      <c r="O25" t="s">
        <v>64</v>
      </c>
      <c r="R25" t="s">
        <v>41</v>
      </c>
      <c r="S25" t="s">
        <v>16</v>
      </c>
      <c r="T25" t="s">
        <v>42</v>
      </c>
    </row>
    <row r="26" spans="1:22" x14ac:dyDescent="0.25">
      <c r="A26" s="2" t="s">
        <v>30</v>
      </c>
      <c r="B26" s="2">
        <v>140</v>
      </c>
      <c r="C26" s="2">
        <v>280</v>
      </c>
      <c r="D26" s="2">
        <v>1050</v>
      </c>
      <c r="E26" s="2">
        <f>10*70</f>
        <v>700</v>
      </c>
      <c r="F26" s="2">
        <v>140</v>
      </c>
      <c r="G26" s="29">
        <f>4*70</f>
        <v>280</v>
      </c>
      <c r="H26" s="29"/>
      <c r="I26" s="2">
        <f>4*70</f>
        <v>280</v>
      </c>
      <c r="J26" s="2">
        <f>23*70</f>
        <v>1610</v>
      </c>
      <c r="K26" s="2">
        <f>37*70</f>
        <v>2590</v>
      </c>
      <c r="L26" s="34">
        <f>(113-101)*70</f>
        <v>840</v>
      </c>
      <c r="M26" s="1">
        <f>SUM(B26:L26)</f>
        <v>7910</v>
      </c>
      <c r="N26">
        <f>M26/70</f>
        <v>113</v>
      </c>
      <c r="O26">
        <f>66+47</f>
        <v>113</v>
      </c>
      <c r="Q26" t="s">
        <v>33</v>
      </c>
      <c r="R26">
        <f>M26</f>
        <v>7910</v>
      </c>
      <c r="S26" s="5">
        <f>N26*25</f>
        <v>2825</v>
      </c>
      <c r="T26">
        <f>R26-S26</f>
        <v>5085</v>
      </c>
    </row>
    <row r="27" spans="1:22" x14ac:dyDescent="0.25">
      <c r="A27" s="2" t="s">
        <v>31</v>
      </c>
      <c r="B27" s="2">
        <v>100</v>
      </c>
      <c r="C27" s="2"/>
      <c r="D27" s="2">
        <v>1100</v>
      </c>
      <c r="E27" s="2">
        <v>1700</v>
      </c>
      <c r="F27" s="2">
        <v>500</v>
      </c>
      <c r="G27" s="29">
        <v>2200</v>
      </c>
      <c r="H27" s="29">
        <v>1100</v>
      </c>
      <c r="I27" s="29">
        <v>1000</v>
      </c>
      <c r="J27" s="29">
        <v>1600</v>
      </c>
      <c r="K27" s="29"/>
      <c r="L27" s="34">
        <f>5*100</f>
        <v>500</v>
      </c>
      <c r="M27" s="1">
        <f>SUM(B27:L27)</f>
        <v>9800</v>
      </c>
      <c r="N27">
        <f>M27/100</f>
        <v>98</v>
      </c>
      <c r="O27">
        <v>98</v>
      </c>
      <c r="Q27" t="s">
        <v>33</v>
      </c>
      <c r="R27">
        <f>M27</f>
        <v>9800</v>
      </c>
      <c r="S27" s="5">
        <f>N27*25</f>
        <v>2450</v>
      </c>
      <c r="T27">
        <f>R27-S27</f>
        <v>7350</v>
      </c>
      <c r="U27" t="s">
        <v>60</v>
      </c>
      <c r="V27" t="s">
        <v>65</v>
      </c>
    </row>
    <row r="28" spans="1:22" x14ac:dyDescent="0.25">
      <c r="A28" s="2" t="s">
        <v>48</v>
      </c>
      <c r="B28" s="2"/>
      <c r="C28" s="2">
        <v>480</v>
      </c>
      <c r="D28" s="2">
        <v>720</v>
      </c>
      <c r="E28" s="2">
        <f>3*240</f>
        <v>720</v>
      </c>
      <c r="F28" s="2"/>
      <c r="G28" s="29">
        <v>240</v>
      </c>
      <c r="H28" s="29">
        <v>240</v>
      </c>
      <c r="I28" s="29">
        <f>3*240</f>
        <v>720</v>
      </c>
      <c r="J28" s="29">
        <f>20*200</f>
        <v>4000</v>
      </c>
      <c r="K28" s="29">
        <v>200</v>
      </c>
      <c r="L28" s="34">
        <f>4*200</f>
        <v>800</v>
      </c>
      <c r="M28" s="1">
        <f>SUM(B28:L28)</f>
        <v>8120</v>
      </c>
      <c r="N28">
        <f>U28/240+V28/200</f>
        <v>38</v>
      </c>
      <c r="O28">
        <v>38</v>
      </c>
      <c r="Q28" t="s">
        <v>33</v>
      </c>
      <c r="R28">
        <f>M28</f>
        <v>8120</v>
      </c>
      <c r="S28" s="5">
        <f>N28*40</f>
        <v>1520</v>
      </c>
      <c r="T28">
        <f>R28-S28</f>
        <v>6600</v>
      </c>
      <c r="U28">
        <f>SUM(B28:I28)</f>
        <v>3120</v>
      </c>
      <c r="V28">
        <f>SUM(J28:L28)</f>
        <v>5000</v>
      </c>
    </row>
    <row r="29" spans="1:22" x14ac:dyDescent="0.25">
      <c r="A29" s="1" t="s">
        <v>32</v>
      </c>
      <c r="B29" s="1">
        <f>SUM(B26:B28)</f>
        <v>240</v>
      </c>
      <c r="C29" s="1">
        <f>SUM(C26:C28)</f>
        <v>760</v>
      </c>
      <c r="D29" s="1">
        <f>SUM(D26:D28)</f>
        <v>2870</v>
      </c>
      <c r="E29" s="1">
        <f t="shared" ref="E29:K29" si="3">SUM(E26:E28)</f>
        <v>3120</v>
      </c>
      <c r="F29" s="1">
        <f t="shared" si="3"/>
        <v>640</v>
      </c>
      <c r="G29" s="1">
        <f t="shared" si="3"/>
        <v>2720</v>
      </c>
      <c r="H29" s="1">
        <f t="shared" si="3"/>
        <v>1340</v>
      </c>
      <c r="I29" s="1">
        <f t="shared" si="3"/>
        <v>2000</v>
      </c>
      <c r="J29" s="1">
        <f t="shared" si="3"/>
        <v>7210</v>
      </c>
      <c r="K29" s="1">
        <f t="shared" si="3"/>
        <v>2790</v>
      </c>
      <c r="L29" s="37">
        <f>SUM(L26:L28)</f>
        <v>2140</v>
      </c>
      <c r="M29" s="1">
        <f>SUM(B29:L29)</f>
        <v>25830</v>
      </c>
      <c r="N29" s="1">
        <f>SUM(N26:N28)</f>
        <v>249</v>
      </c>
      <c r="O29" s="1">
        <f>SUM(O26:O28)</f>
        <v>249</v>
      </c>
      <c r="P29" s="1"/>
      <c r="Q29" s="1" t="s">
        <v>43</v>
      </c>
      <c r="R29" s="1">
        <f>SUM(R26:R28)</f>
        <v>25830</v>
      </c>
      <c r="S29" s="1">
        <f t="shared" ref="S29:T29" si="4">SUM(S26:S28)</f>
        <v>6795</v>
      </c>
      <c r="T29" s="1">
        <f t="shared" si="4"/>
        <v>19035</v>
      </c>
    </row>
    <row r="30" spans="1:22" x14ac:dyDescent="0.25">
      <c r="A30" s="1"/>
    </row>
    <row r="31" spans="1:22" x14ac:dyDescent="0.25">
      <c r="A31" t="s">
        <v>12</v>
      </c>
      <c r="G31" s="5">
        <v>300</v>
      </c>
      <c r="M31" s="1">
        <f>SUM(C31:L31)</f>
        <v>300</v>
      </c>
      <c r="Q31" t="s">
        <v>22</v>
      </c>
      <c r="R31">
        <f>M21</f>
        <v>2510</v>
      </c>
      <c r="S31">
        <f>260+50</f>
        <v>310</v>
      </c>
      <c r="T31">
        <f>R31-S31</f>
        <v>2200</v>
      </c>
    </row>
    <row r="32" spans="1:22" s="1" customFormat="1" x14ac:dyDescent="0.25">
      <c r="A32"/>
      <c r="B32"/>
      <c r="C32"/>
      <c r="D32"/>
      <c r="E32"/>
      <c r="F32"/>
      <c r="G32" s="5"/>
      <c r="H32" s="5"/>
      <c r="I32"/>
      <c r="J32"/>
      <c r="K32"/>
      <c r="L32" s="3"/>
      <c r="M32"/>
      <c r="Q32" t="s">
        <v>12</v>
      </c>
      <c r="R32">
        <f>M31</f>
        <v>300</v>
      </c>
      <c r="S32">
        <f>R32*0.2</f>
        <v>60</v>
      </c>
      <c r="T32">
        <f>R32-S32</f>
        <v>240</v>
      </c>
    </row>
    <row r="33" spans="1:21" x14ac:dyDescent="0.25">
      <c r="A33" s="1" t="s">
        <v>2</v>
      </c>
      <c r="B33" s="1">
        <f>B10+B16+B21+B31+B29+B23</f>
        <v>440</v>
      </c>
      <c r="C33" s="1">
        <f>C10+C16+C21+C31+C29+C23</f>
        <v>2155</v>
      </c>
      <c r="D33" s="1">
        <f t="shared" ref="D33:L33" si="5">D10+D16+D21+D31+D29</f>
        <v>3370</v>
      </c>
      <c r="E33" s="1">
        <f t="shared" si="5"/>
        <v>3830</v>
      </c>
      <c r="F33" s="1">
        <f t="shared" si="5"/>
        <v>640</v>
      </c>
      <c r="G33" s="1">
        <f t="shared" si="5"/>
        <v>3845</v>
      </c>
      <c r="H33" s="1">
        <f t="shared" si="5"/>
        <v>1870</v>
      </c>
      <c r="I33" s="1">
        <f t="shared" si="5"/>
        <v>3550</v>
      </c>
      <c r="J33" s="1">
        <f t="shared" si="5"/>
        <v>8085</v>
      </c>
      <c r="K33" s="1">
        <f t="shared" si="5"/>
        <v>3195</v>
      </c>
      <c r="L33" s="37">
        <f t="shared" si="5"/>
        <v>2370</v>
      </c>
      <c r="M33" s="1">
        <f>M10+M16+M21+M23+M24+M29+M31</f>
        <v>33500</v>
      </c>
      <c r="Q33" s="1" t="s">
        <v>6</v>
      </c>
      <c r="R33" s="1">
        <f>R20+R21+R29+R31+R32+R23+R24</f>
        <v>33500</v>
      </c>
      <c r="S33" s="1"/>
      <c r="T33" s="1"/>
    </row>
    <row r="34" spans="1:21" x14ac:dyDescent="0.25">
      <c r="A34" s="1"/>
      <c r="B34" s="1"/>
      <c r="C34" s="1"/>
      <c r="D34" s="1"/>
      <c r="E34" s="1"/>
      <c r="F34" s="1"/>
      <c r="G34" s="4"/>
      <c r="H34" s="4"/>
      <c r="I34" s="1"/>
      <c r="J34" s="1"/>
      <c r="K34" s="1"/>
      <c r="L34" s="37"/>
      <c r="M34" s="1"/>
      <c r="Q34" t="s">
        <v>8</v>
      </c>
      <c r="R34">
        <f>-Redovisning!C15</f>
        <v>-4631</v>
      </c>
    </row>
    <row r="35" spans="1:21" x14ac:dyDescent="0.25">
      <c r="A35" s="1" t="s">
        <v>40</v>
      </c>
      <c r="B35" s="1">
        <f t="shared" ref="B35:M35" si="6">B46-B38-B33</f>
        <v>0</v>
      </c>
      <c r="C35" s="1">
        <f t="shared" si="6"/>
        <v>315</v>
      </c>
      <c r="D35" s="1">
        <f t="shared" si="6"/>
        <v>1270</v>
      </c>
      <c r="E35" s="1">
        <f t="shared" si="6"/>
        <v>20</v>
      </c>
      <c r="F35" s="1">
        <f t="shared" si="6"/>
        <v>0</v>
      </c>
      <c r="G35" s="37">
        <f t="shared" si="6"/>
        <v>3740</v>
      </c>
      <c r="H35" s="37">
        <f>H46-H38-H33</f>
        <v>-2475</v>
      </c>
      <c r="I35" s="1">
        <f t="shared" si="6"/>
        <v>-410</v>
      </c>
      <c r="J35" s="1">
        <f t="shared" si="6"/>
        <v>815</v>
      </c>
      <c r="K35" s="1">
        <f t="shared" si="6"/>
        <v>0</v>
      </c>
      <c r="L35" s="37">
        <f>SUM(B35:K35)</f>
        <v>3275</v>
      </c>
      <c r="M35" s="1">
        <f t="shared" si="6"/>
        <v>-33500</v>
      </c>
      <c r="Q35" t="s">
        <v>22</v>
      </c>
      <c r="R35">
        <v>-2200</v>
      </c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7"/>
      <c r="M36" s="1"/>
      <c r="Q36" t="s">
        <v>59</v>
      </c>
      <c r="R36" s="5">
        <f>-J24</f>
        <v>-150</v>
      </c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37"/>
      <c r="M37" s="1"/>
      <c r="Q37" t="s">
        <v>12</v>
      </c>
      <c r="R37">
        <f>-R32*0.8</f>
        <v>-240</v>
      </c>
    </row>
    <row r="38" spans="1:21" x14ac:dyDescent="0.25">
      <c r="A38" t="s">
        <v>18</v>
      </c>
      <c r="B38" s="36">
        <v>1100</v>
      </c>
      <c r="C38" s="5">
        <v>1100</v>
      </c>
      <c r="D38" s="5">
        <v>1300</v>
      </c>
      <c r="E38" s="5">
        <v>1125</v>
      </c>
      <c r="F38" s="5">
        <f>E44-E47</f>
        <v>1995</v>
      </c>
      <c r="G38" s="5">
        <f>F44-F47</f>
        <v>2435</v>
      </c>
      <c r="H38" s="5">
        <v>4455</v>
      </c>
      <c r="I38" s="5">
        <f t="shared" ref="I38:K38" si="7">H44-H47</f>
        <v>1150</v>
      </c>
      <c r="J38" s="3">
        <v>890</v>
      </c>
      <c r="K38" s="5">
        <f t="shared" si="7"/>
        <v>1125</v>
      </c>
      <c r="M38">
        <v>0</v>
      </c>
      <c r="Q38" t="s">
        <v>11</v>
      </c>
      <c r="R38">
        <f>SUM(R33:R35)</f>
        <v>26669</v>
      </c>
    </row>
    <row r="39" spans="1:21" s="2" customFormat="1" x14ac:dyDescent="0.25">
      <c r="A39" s="2" t="s">
        <v>34</v>
      </c>
      <c r="B39" s="2">
        <v>70</v>
      </c>
      <c r="D39" s="2">
        <f>175+150+170</f>
        <v>495</v>
      </c>
      <c r="G39" s="29"/>
      <c r="H39" s="29"/>
      <c r="I39" s="29"/>
      <c r="K39" s="2">
        <f>200+210+70+430+140+70+200</f>
        <v>1320</v>
      </c>
      <c r="L39" s="34"/>
      <c r="M39">
        <f>SUM(B39:L39)</f>
        <v>1885</v>
      </c>
      <c r="N39"/>
      <c r="Q39"/>
      <c r="R39"/>
      <c r="S39"/>
      <c r="T39"/>
      <c r="U39" s="35">
        <v>43170</v>
      </c>
    </row>
    <row r="40" spans="1:21" s="2" customFormat="1" x14ac:dyDescent="0.25">
      <c r="A40" s="2" t="s">
        <v>35</v>
      </c>
      <c r="B40" s="2">
        <v>0</v>
      </c>
      <c r="C40" s="2">
        <f>100+200+100+390+210</f>
        <v>1000</v>
      </c>
      <c r="D40" s="34">
        <f>410+70+210+240</f>
        <v>930</v>
      </c>
      <c r="E40" s="2">
        <f>100+350+240</f>
        <v>690</v>
      </c>
      <c r="F40" s="2">
        <v>100</v>
      </c>
      <c r="G40" s="29">
        <f>175+140+70+100</f>
        <v>485</v>
      </c>
      <c r="H40" s="29">
        <v>780</v>
      </c>
      <c r="I40" s="2">
        <f>100+100+175+70+240</f>
        <v>685</v>
      </c>
      <c r="J40" s="2">
        <f>200+140+70+140+400+175+175+175+280+270+800+270+70+140+100+100+100+100+170+200</f>
        <v>4075</v>
      </c>
      <c r="K40" s="2">
        <f>70+140+70+140+70+70+140+70+70+150+70+70+175</f>
        <v>1305</v>
      </c>
      <c r="L40" s="34"/>
      <c r="M40">
        <f>SUM(B40:L40)</f>
        <v>10050</v>
      </c>
      <c r="N40"/>
      <c r="Q40"/>
      <c r="R40"/>
      <c r="S40"/>
      <c r="T40"/>
      <c r="U40" s="2">
        <v>1000</v>
      </c>
    </row>
    <row r="41" spans="1:21" s="2" customFormat="1" x14ac:dyDescent="0.25">
      <c r="A41" s="2" t="s">
        <v>36</v>
      </c>
      <c r="B41" s="2">
        <v>100</v>
      </c>
      <c r="C41" s="2">
        <v>270</v>
      </c>
      <c r="D41" s="2">
        <f>100+140+100+70+70+100+70+200+100+100+340</f>
        <v>1390</v>
      </c>
      <c r="E41" s="2">
        <f>140+200+70+200+180</f>
        <v>790</v>
      </c>
      <c r="F41" s="2">
        <v>100</v>
      </c>
      <c r="G41" s="29">
        <f>80+370+80+180+100+200+100+100+100+70</f>
        <v>1380</v>
      </c>
      <c r="H41" s="29">
        <f>150+240+150+100+80+100+100</f>
        <v>920</v>
      </c>
      <c r="I41" s="2">
        <f>100+100+100+100+200+45+70</f>
        <v>715</v>
      </c>
      <c r="J41" s="2">
        <f>200+70+200+70+200+80+100+70+270</f>
        <v>1260</v>
      </c>
      <c r="K41" s="29">
        <v>70</v>
      </c>
      <c r="L41" s="34"/>
      <c r="M41">
        <f>SUM(B41:L41)</f>
        <v>6995</v>
      </c>
      <c r="U41" s="2">
        <v>9000</v>
      </c>
    </row>
    <row r="42" spans="1:21" s="2" customFormat="1" x14ac:dyDescent="0.25">
      <c r="G42" s="29"/>
      <c r="H42" s="29"/>
      <c r="L42" s="34"/>
      <c r="M42" s="5">
        <f>SUM(B42:L42)</f>
        <v>0</v>
      </c>
      <c r="N42"/>
      <c r="U42" s="2">
        <v>3600</v>
      </c>
    </row>
    <row r="43" spans="1:21" x14ac:dyDescent="0.25">
      <c r="A43" t="s">
        <v>28</v>
      </c>
      <c r="B43" s="1">
        <f t="shared" ref="B43:K43" si="8">B39+B40+B41+B42</f>
        <v>170</v>
      </c>
      <c r="C43" s="1">
        <f t="shared" si="8"/>
        <v>1270</v>
      </c>
      <c r="D43" s="1">
        <f t="shared" si="8"/>
        <v>2815</v>
      </c>
      <c r="E43" s="1">
        <f t="shared" si="8"/>
        <v>1480</v>
      </c>
      <c r="F43" s="1">
        <f t="shared" si="8"/>
        <v>200</v>
      </c>
      <c r="G43" s="1">
        <f t="shared" si="8"/>
        <v>1865</v>
      </c>
      <c r="H43" s="1">
        <f t="shared" si="8"/>
        <v>1700</v>
      </c>
      <c r="I43" s="1">
        <f t="shared" si="8"/>
        <v>1400</v>
      </c>
      <c r="J43" s="1">
        <f t="shared" si="8"/>
        <v>5335</v>
      </c>
      <c r="K43" s="1">
        <f t="shared" si="8"/>
        <v>2695</v>
      </c>
      <c r="L43" s="37"/>
      <c r="M43">
        <f>SUM(B43:L43)</f>
        <v>18930</v>
      </c>
      <c r="N43" t="s">
        <v>28</v>
      </c>
      <c r="Q43" s="2"/>
      <c r="R43" s="2"/>
      <c r="S43" s="2"/>
      <c r="T43" s="2"/>
      <c r="U43" s="2">
        <v>700</v>
      </c>
    </row>
    <row r="44" spans="1:21" x14ac:dyDescent="0.25">
      <c r="A44" t="s">
        <v>39</v>
      </c>
      <c r="B44">
        <v>1370</v>
      </c>
      <c r="C44" s="5">
        <v>2300</v>
      </c>
      <c r="D44" s="5">
        <v>3125</v>
      </c>
      <c r="E44" s="5">
        <v>3495</v>
      </c>
      <c r="F44" s="5">
        <v>2435</v>
      </c>
      <c r="G44" s="5">
        <v>8155</v>
      </c>
      <c r="H44" s="5">
        <v>2150</v>
      </c>
      <c r="I44" s="3">
        <v>2890</v>
      </c>
      <c r="J44" s="5">
        <v>4325</v>
      </c>
      <c r="K44" s="5">
        <v>1625</v>
      </c>
      <c r="Q44" s="2"/>
      <c r="R44" s="2"/>
      <c r="S44" s="2"/>
      <c r="T44" s="2"/>
      <c r="U44" s="2">
        <v>850</v>
      </c>
    </row>
    <row r="45" spans="1:21" x14ac:dyDescent="0.25">
      <c r="A45" t="s">
        <v>8</v>
      </c>
      <c r="C45" s="5"/>
      <c r="D45" s="5"/>
      <c r="J45">
        <v>130</v>
      </c>
      <c r="M45">
        <f>SUM(B45:L45)</f>
        <v>130</v>
      </c>
      <c r="N45" t="s">
        <v>76</v>
      </c>
      <c r="U45" s="2">
        <v>40</v>
      </c>
    </row>
    <row r="46" spans="1:21" x14ac:dyDescent="0.25">
      <c r="A46" t="s">
        <v>38</v>
      </c>
      <c r="B46" s="1">
        <f t="shared" ref="B46:K46" si="9">B43+B44+B45</f>
        <v>1540</v>
      </c>
      <c r="C46" s="1">
        <f t="shared" si="9"/>
        <v>3570</v>
      </c>
      <c r="D46" s="1">
        <f t="shared" si="9"/>
        <v>5940</v>
      </c>
      <c r="E46" s="1">
        <f t="shared" si="9"/>
        <v>4975</v>
      </c>
      <c r="F46" s="1">
        <f t="shared" si="9"/>
        <v>2635</v>
      </c>
      <c r="G46" s="1">
        <f t="shared" si="9"/>
        <v>10020</v>
      </c>
      <c r="H46" s="1">
        <f t="shared" si="9"/>
        <v>3850</v>
      </c>
      <c r="I46" s="1">
        <f t="shared" si="9"/>
        <v>4290</v>
      </c>
      <c r="J46" s="1">
        <f>J43+J44+J45</f>
        <v>9790</v>
      </c>
      <c r="K46" s="1">
        <f t="shared" si="9"/>
        <v>4320</v>
      </c>
      <c r="L46" s="37"/>
      <c r="U46" s="2">
        <v>5</v>
      </c>
    </row>
    <row r="47" spans="1:21" x14ac:dyDescent="0.25">
      <c r="A47" t="s">
        <v>4</v>
      </c>
      <c r="B47">
        <v>270</v>
      </c>
      <c r="C47" s="5">
        <v>1000</v>
      </c>
      <c r="D47" s="5">
        <v>2000</v>
      </c>
      <c r="E47" s="5">
        <v>1500</v>
      </c>
      <c r="F47" s="5"/>
      <c r="G47" s="5">
        <v>3700</v>
      </c>
      <c r="H47" s="5">
        <v>1000</v>
      </c>
      <c r="I47" s="5">
        <v>2000</v>
      </c>
      <c r="J47" s="5">
        <v>3200</v>
      </c>
      <c r="K47" s="5">
        <v>1625</v>
      </c>
      <c r="M47">
        <f>SUM(B47:L47)-B38</f>
        <v>15195</v>
      </c>
      <c r="N47" s="5" t="s">
        <v>75</v>
      </c>
      <c r="U47">
        <f>SUM(U40:U46)</f>
        <v>15195</v>
      </c>
    </row>
    <row r="48" spans="1:21" x14ac:dyDescent="0.25">
      <c r="A48" t="s">
        <v>5</v>
      </c>
      <c r="C48" s="5"/>
      <c r="D48" s="5"/>
      <c r="E48" s="5"/>
      <c r="F48" s="5"/>
      <c r="I48" s="5"/>
      <c r="J48" s="5"/>
      <c r="K48" s="5"/>
      <c r="M48">
        <f>SUM(B48:L48)</f>
        <v>0</v>
      </c>
    </row>
    <row r="50" spans="1:13" x14ac:dyDescent="0.25">
      <c r="A50" t="s">
        <v>77</v>
      </c>
      <c r="B50" s="5">
        <f t="shared" ref="B50:I50" si="10">B44-B47</f>
        <v>1100</v>
      </c>
      <c r="C50" s="5">
        <v>1300</v>
      </c>
      <c r="D50" s="5">
        <v>1125</v>
      </c>
      <c r="E50" s="5">
        <f t="shared" si="10"/>
        <v>1995</v>
      </c>
      <c r="F50" s="5">
        <f t="shared" si="10"/>
        <v>2435</v>
      </c>
      <c r="G50" s="5">
        <f t="shared" si="10"/>
        <v>4455</v>
      </c>
      <c r="H50" s="5">
        <f t="shared" si="10"/>
        <v>1150</v>
      </c>
      <c r="I50" s="5">
        <f t="shared" si="10"/>
        <v>890</v>
      </c>
      <c r="J50" s="5">
        <f>J44-J47</f>
        <v>1125</v>
      </c>
      <c r="K50" s="5">
        <f t="shared" ref="K50" si="11">K44-K47</f>
        <v>0</v>
      </c>
    </row>
    <row r="52" spans="1:13" s="18" customFormat="1" x14ac:dyDescent="0.25">
      <c r="A52" s="18" t="s">
        <v>49</v>
      </c>
      <c r="B52" s="18">
        <f t="shared" ref="B52:K52" si="12">B33+B38-B43-B45-B47-B48-B50</f>
        <v>0</v>
      </c>
      <c r="C52" s="18">
        <f t="shared" si="12"/>
        <v>-315</v>
      </c>
      <c r="D52" s="18">
        <f t="shared" si="12"/>
        <v>-1270</v>
      </c>
      <c r="E52" s="18">
        <f t="shared" si="12"/>
        <v>-20</v>
      </c>
      <c r="F52" s="18">
        <f t="shared" si="12"/>
        <v>0</v>
      </c>
      <c r="G52" s="18">
        <f t="shared" si="12"/>
        <v>-3740</v>
      </c>
      <c r="H52" s="18">
        <f t="shared" si="12"/>
        <v>2475</v>
      </c>
      <c r="I52" s="18">
        <f t="shared" si="12"/>
        <v>410</v>
      </c>
      <c r="J52" s="18">
        <f t="shared" si="12"/>
        <v>-815</v>
      </c>
      <c r="K52" s="18">
        <f t="shared" si="12"/>
        <v>0</v>
      </c>
      <c r="L52" s="3">
        <f>L33</f>
        <v>2370</v>
      </c>
      <c r="M52" s="18">
        <f>M43+M45+M47</f>
        <v>34255</v>
      </c>
    </row>
    <row r="54" spans="1:13" x14ac:dyDescent="0.25">
      <c r="A54" s="36" t="s">
        <v>57</v>
      </c>
      <c r="B54" s="1"/>
      <c r="C54" s="2"/>
      <c r="D54" s="1"/>
      <c r="E54" s="1"/>
      <c r="F54" s="1"/>
      <c r="G54" s="1"/>
      <c r="H54" s="1"/>
      <c r="I54" s="1"/>
      <c r="J54" s="1"/>
      <c r="K54" s="1"/>
      <c r="L54" s="37"/>
    </row>
    <row r="55" spans="1:13" x14ac:dyDescent="0.25">
      <c r="C55" s="5"/>
      <c r="D55" s="5"/>
      <c r="E55" s="5"/>
      <c r="F55" s="5"/>
    </row>
    <row r="56" spans="1:13" s="1" customFormat="1" x14ac:dyDescent="0.25">
      <c r="A56"/>
      <c r="B56"/>
      <c r="C56" s="5"/>
      <c r="D56" s="5"/>
      <c r="E56" s="5"/>
      <c r="F56" s="5"/>
      <c r="G56" s="5"/>
      <c r="H56" s="5"/>
      <c r="I56"/>
      <c r="J56"/>
      <c r="K56"/>
      <c r="L56" s="3"/>
      <c r="M56"/>
    </row>
    <row r="57" spans="1:13" x14ac:dyDescent="0.25">
      <c r="C57" s="5"/>
      <c r="D57" s="5"/>
      <c r="E57" s="5"/>
      <c r="F57" s="5"/>
    </row>
    <row r="58" spans="1:13" x14ac:dyDescent="0.25">
      <c r="C58" s="5"/>
      <c r="D58" s="5"/>
      <c r="E58" s="5"/>
      <c r="F58" s="5"/>
    </row>
    <row r="59" spans="1:13" x14ac:dyDescent="0.25">
      <c r="C59" s="5"/>
      <c r="D59" s="5"/>
      <c r="E59" s="5"/>
      <c r="F59" s="5"/>
    </row>
    <row r="60" spans="1:13" x14ac:dyDescent="0.25">
      <c r="C60" s="5"/>
      <c r="D60" s="5"/>
      <c r="E60" s="5"/>
      <c r="F60" s="5"/>
    </row>
    <row r="61" spans="1:13" x14ac:dyDescent="0.25">
      <c r="A61" s="1"/>
      <c r="B61" s="1"/>
      <c r="C61" s="4"/>
      <c r="D61" s="4"/>
      <c r="E61" s="4"/>
      <c r="F61" s="4"/>
      <c r="G61" s="4"/>
      <c r="H61" s="4"/>
      <c r="I61" s="1"/>
      <c r="J61" s="1"/>
      <c r="K61" s="1"/>
      <c r="L61" s="37"/>
      <c r="M61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ignoredErrors>
    <ignoredError sqref="M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workbookViewId="0">
      <selection sqref="A1:C15"/>
    </sheetView>
  </sheetViews>
  <sheetFormatPr defaultRowHeight="15" x14ac:dyDescent="0.25"/>
  <cols>
    <col min="2" max="2" width="41.5703125" bestFit="1" customWidth="1"/>
    <col min="3" max="3" width="9.140625" style="5"/>
    <col min="4" max="4" width="18.42578125" bestFit="1" customWidth="1"/>
    <col min="5" max="5" width="6.42578125" bestFit="1" customWidth="1"/>
    <col min="6" max="6" width="20.85546875" bestFit="1" customWidth="1"/>
    <col min="8" max="8" width="19.5703125" bestFit="1" customWidth="1"/>
    <col min="9" max="9" width="11.7109375" bestFit="1" customWidth="1"/>
  </cols>
  <sheetData>
    <row r="1" spans="1:13" x14ac:dyDescent="0.25">
      <c r="A1" t="s">
        <v>50</v>
      </c>
    </row>
    <row r="2" spans="1:13" x14ac:dyDescent="0.25">
      <c r="L2" s="5"/>
    </row>
    <row r="3" spans="1:13" x14ac:dyDescent="0.25">
      <c r="A3" t="s">
        <v>8</v>
      </c>
      <c r="B3" t="s">
        <v>55</v>
      </c>
      <c r="C3" s="19"/>
      <c r="D3" s="19" t="s">
        <v>69</v>
      </c>
      <c r="E3" s="20">
        <v>2100</v>
      </c>
      <c r="L3" s="5"/>
    </row>
    <row r="4" spans="1:13" x14ac:dyDescent="0.25">
      <c r="A4" t="s">
        <v>8</v>
      </c>
      <c r="B4" t="s">
        <v>55</v>
      </c>
      <c r="C4" s="19">
        <v>2100</v>
      </c>
      <c r="D4" s="19"/>
      <c r="E4" s="20"/>
      <c r="G4" s="10"/>
      <c r="H4" s="12"/>
      <c r="L4" s="5"/>
    </row>
    <row r="5" spans="1:13" x14ac:dyDescent="0.25">
      <c r="A5" t="s">
        <v>8</v>
      </c>
      <c r="B5" t="s">
        <v>66</v>
      </c>
      <c r="C5" s="19">
        <v>130</v>
      </c>
      <c r="D5" s="19"/>
      <c r="E5" s="20"/>
      <c r="G5" s="13"/>
      <c r="H5" s="15"/>
      <c r="L5" s="5"/>
    </row>
    <row r="6" spans="1:13" x14ac:dyDescent="0.25">
      <c r="A6" t="s">
        <v>8</v>
      </c>
      <c r="B6" t="s">
        <v>13</v>
      </c>
      <c r="C6" s="31">
        <f>SUM(C3:C5)</f>
        <v>2230</v>
      </c>
      <c r="D6" s="20"/>
      <c r="E6" s="20"/>
      <c r="G6" s="13"/>
      <c r="H6" s="15"/>
      <c r="I6" s="8"/>
      <c r="J6" s="5"/>
      <c r="K6" s="6"/>
      <c r="L6" s="5"/>
      <c r="M6" s="5"/>
    </row>
    <row r="7" spans="1:13" x14ac:dyDescent="0.25">
      <c r="C7" s="31"/>
      <c r="D7" s="20"/>
      <c r="E7" s="20"/>
      <c r="G7" s="13"/>
      <c r="H7" s="15"/>
      <c r="I7" s="8"/>
      <c r="J7" s="6"/>
      <c r="K7" s="6"/>
      <c r="L7" s="5"/>
      <c r="M7" s="5"/>
    </row>
    <row r="8" spans="1:13" x14ac:dyDescent="0.25">
      <c r="A8" t="s">
        <v>8</v>
      </c>
      <c r="B8" t="s">
        <v>56</v>
      </c>
      <c r="C8" s="32">
        <v>350</v>
      </c>
      <c r="D8" s="20"/>
      <c r="E8" s="20"/>
      <c r="G8" s="14"/>
      <c r="H8" s="14"/>
      <c r="I8" s="8"/>
      <c r="J8" s="6"/>
      <c r="K8" s="6"/>
      <c r="L8" s="5"/>
      <c r="M8" s="5"/>
    </row>
    <row r="9" spans="1:13" x14ac:dyDescent="0.25">
      <c r="A9" t="s">
        <v>8</v>
      </c>
      <c r="B9" t="s">
        <v>56</v>
      </c>
      <c r="C9" s="32">
        <v>350</v>
      </c>
      <c r="D9" s="20"/>
      <c r="E9" s="20"/>
      <c r="G9" s="14"/>
      <c r="H9" s="14"/>
      <c r="I9" s="8"/>
      <c r="J9" s="6"/>
      <c r="K9" s="6"/>
      <c r="L9" s="5"/>
      <c r="M9" s="5"/>
    </row>
    <row r="10" spans="1:13" x14ac:dyDescent="0.25">
      <c r="A10" t="s">
        <v>8</v>
      </c>
      <c r="B10" t="s">
        <v>23</v>
      </c>
      <c r="C10" s="32">
        <v>537</v>
      </c>
      <c r="D10" s="20"/>
      <c r="E10" s="20"/>
      <c r="I10" s="8"/>
      <c r="J10" s="6"/>
      <c r="K10" s="6"/>
      <c r="L10" s="5"/>
      <c r="M10" s="5"/>
    </row>
    <row r="11" spans="1:13" x14ac:dyDescent="0.25">
      <c r="A11" t="s">
        <v>8</v>
      </c>
      <c r="B11" t="s">
        <v>23</v>
      </c>
      <c r="C11" s="32">
        <v>630</v>
      </c>
      <c r="D11" s="20"/>
      <c r="E11" s="20"/>
      <c r="H11" s="8"/>
      <c r="I11" s="8"/>
      <c r="J11" s="6"/>
      <c r="K11" s="6"/>
      <c r="L11" s="5"/>
      <c r="M11" s="5"/>
    </row>
    <row r="12" spans="1:13" x14ac:dyDescent="0.25">
      <c r="A12" t="s">
        <v>8</v>
      </c>
      <c r="B12" t="s">
        <v>23</v>
      </c>
      <c r="C12" s="32">
        <v>534</v>
      </c>
      <c r="D12" s="20"/>
      <c r="E12" s="20"/>
      <c r="H12" s="8"/>
      <c r="I12" s="8"/>
      <c r="J12" s="6"/>
      <c r="K12" s="6"/>
      <c r="L12" s="5"/>
      <c r="M12" s="5"/>
    </row>
    <row r="13" spans="1:13" x14ac:dyDescent="0.25">
      <c r="A13" t="s">
        <v>8</v>
      </c>
      <c r="B13" t="s">
        <v>73</v>
      </c>
      <c r="C13" s="31">
        <f>SUM(C8:C12)</f>
        <v>2401</v>
      </c>
      <c r="D13" s="20"/>
      <c r="E13" s="20"/>
      <c r="H13" s="8"/>
      <c r="I13" s="8"/>
      <c r="J13" s="6"/>
      <c r="K13" s="6"/>
      <c r="L13" s="5">
        <f>SUM(L2:L12)</f>
        <v>0</v>
      </c>
      <c r="M13" s="5"/>
    </row>
    <row r="15" spans="1:13" x14ac:dyDescent="0.25">
      <c r="A15" t="s">
        <v>6</v>
      </c>
      <c r="C15" s="31">
        <f>C6+C13</f>
        <v>4631</v>
      </c>
      <c r="D15" s="20"/>
      <c r="E15" s="20"/>
      <c r="H15" s="8"/>
      <c r="I15" s="8"/>
      <c r="J15" s="6"/>
      <c r="K15" s="6"/>
      <c r="L15" s="7"/>
      <c r="M15" s="5"/>
    </row>
    <row r="16" spans="1:13" x14ac:dyDescent="0.25">
      <c r="C16" s="19"/>
      <c r="D16" s="20"/>
      <c r="E16" s="20"/>
      <c r="H16" s="8"/>
      <c r="I16" s="8"/>
      <c r="J16" s="6"/>
      <c r="K16" s="6"/>
      <c r="L16" s="7"/>
      <c r="M16" s="5"/>
    </row>
    <row r="17" spans="1:13" x14ac:dyDescent="0.25">
      <c r="C17" s="19"/>
      <c r="D17" s="20"/>
      <c r="E17" s="20"/>
      <c r="H17" s="8"/>
      <c r="I17" s="8"/>
      <c r="J17" s="6"/>
      <c r="K17" s="6"/>
      <c r="L17" s="7"/>
      <c r="M17" s="5"/>
    </row>
    <row r="18" spans="1:13" x14ac:dyDescent="0.25">
      <c r="A18" t="s">
        <v>14</v>
      </c>
      <c r="C18" s="31">
        <f>C15+C16+E3</f>
        <v>6731</v>
      </c>
      <c r="D18" s="20"/>
      <c r="E18" s="20"/>
      <c r="H18" s="8"/>
      <c r="I18" s="8"/>
      <c r="J18" s="6"/>
      <c r="K18" s="6"/>
      <c r="L18" s="7"/>
      <c r="M18" s="5"/>
    </row>
    <row r="19" spans="1:13" x14ac:dyDescent="0.25">
      <c r="C19" s="19"/>
      <c r="D19" s="20"/>
      <c r="E19" s="20"/>
      <c r="H19" s="8"/>
      <c r="I19" s="8"/>
      <c r="J19" s="6"/>
      <c r="K19" s="6"/>
      <c r="L19" s="7"/>
      <c r="M19" s="5"/>
    </row>
    <row r="20" spans="1:13" x14ac:dyDescent="0.25">
      <c r="A20" s="10" t="s">
        <v>15</v>
      </c>
      <c r="B20" s="11" t="s">
        <v>72</v>
      </c>
      <c r="C20" s="21">
        <f>Dagredovisning!M16</f>
        <v>2475</v>
      </c>
      <c r="D20" s="22" t="s">
        <v>25</v>
      </c>
      <c r="E20" s="23" t="s">
        <v>2</v>
      </c>
      <c r="H20" s="8"/>
      <c r="I20" s="8"/>
      <c r="J20" s="6"/>
      <c r="K20" s="6"/>
      <c r="L20" s="7"/>
      <c r="M20" s="5"/>
    </row>
    <row r="21" spans="1:13" x14ac:dyDescent="0.25">
      <c r="A21" s="13"/>
      <c r="B21" s="14" t="s">
        <v>12</v>
      </c>
      <c r="C21" s="28">
        <f>Dagredovisning!S32</f>
        <v>60</v>
      </c>
      <c r="D21" s="24">
        <f>E21-C21</f>
        <v>240</v>
      </c>
      <c r="E21" s="25">
        <f>Dagredovisning!M31</f>
        <v>300</v>
      </c>
      <c r="F21" t="s">
        <v>71</v>
      </c>
      <c r="G21" s="28"/>
      <c r="H21" s="8"/>
      <c r="I21" s="8"/>
      <c r="J21" s="6"/>
      <c r="K21" s="6"/>
      <c r="L21" s="7"/>
      <c r="M21" s="5"/>
    </row>
    <row r="22" spans="1:13" x14ac:dyDescent="0.25">
      <c r="A22" s="13"/>
      <c r="B22" s="14" t="s">
        <v>22</v>
      </c>
      <c r="C22" s="28">
        <f>Dagredovisning!S31</f>
        <v>310</v>
      </c>
      <c r="D22" s="24">
        <f>Dagredovisning!T31</f>
        <v>2200</v>
      </c>
      <c r="E22" s="25">
        <f>Dagredovisning!M21</f>
        <v>2510</v>
      </c>
      <c r="F22" t="s">
        <v>74</v>
      </c>
      <c r="H22" s="8"/>
      <c r="I22" s="8"/>
      <c r="J22" s="6"/>
      <c r="K22" s="5"/>
    </row>
    <row r="23" spans="1:13" x14ac:dyDescent="0.25">
      <c r="A23" s="13"/>
      <c r="B23" s="30" t="s">
        <v>67</v>
      </c>
      <c r="C23" s="28"/>
      <c r="D23" s="24">
        <f>Dagredovisning!M24</f>
        <v>150</v>
      </c>
      <c r="E23" s="25">
        <v>150</v>
      </c>
      <c r="F23" t="s">
        <v>68</v>
      </c>
      <c r="H23" s="8"/>
      <c r="I23" s="8"/>
      <c r="J23" s="6"/>
      <c r="K23" s="5"/>
    </row>
    <row r="24" spans="1:13" x14ac:dyDescent="0.25">
      <c r="A24" s="13"/>
      <c r="B24" s="30" t="s">
        <v>79</v>
      </c>
      <c r="C24" s="28">
        <v>900</v>
      </c>
      <c r="D24" s="28">
        <f>9*75</f>
        <v>675</v>
      </c>
      <c r="E24" s="25"/>
      <c r="F24" t="s">
        <v>78</v>
      </c>
      <c r="H24" s="8"/>
      <c r="I24" s="8"/>
      <c r="J24" s="6"/>
      <c r="K24" s="5"/>
    </row>
    <row r="25" spans="1:13" x14ac:dyDescent="0.25">
      <c r="A25" s="13"/>
      <c r="B25" s="30" t="s">
        <v>44</v>
      </c>
      <c r="C25" s="28">
        <f>Dagredovisning!S29</f>
        <v>6795</v>
      </c>
      <c r="D25" s="24">
        <f>Dagredovisning!T29</f>
        <v>19035</v>
      </c>
      <c r="E25" s="25">
        <f>Dagredovisning!M29</f>
        <v>25830</v>
      </c>
      <c r="F25" t="s">
        <v>70</v>
      </c>
      <c r="H25" s="5"/>
      <c r="I25" s="9"/>
      <c r="J25" s="6"/>
      <c r="K25" s="5"/>
      <c r="L25" s="7"/>
      <c r="M25" s="5"/>
    </row>
    <row r="26" spans="1:13" x14ac:dyDescent="0.25">
      <c r="A26" s="13"/>
      <c r="B26" s="14" t="s">
        <v>16</v>
      </c>
      <c r="C26" s="28">
        <f>Dagredovisning!M10</f>
        <v>1335</v>
      </c>
      <c r="D26" s="24"/>
      <c r="E26" s="25">
        <f>Dagredovisning!M10</f>
        <v>1335</v>
      </c>
      <c r="H26" s="5"/>
      <c r="I26" s="9"/>
      <c r="J26" s="5"/>
      <c r="K26" s="5"/>
      <c r="L26" s="5"/>
      <c r="M26" s="5"/>
    </row>
    <row r="27" spans="1:13" x14ac:dyDescent="0.25">
      <c r="A27" s="16" t="s">
        <v>17</v>
      </c>
      <c r="B27" s="17"/>
      <c r="C27" s="33">
        <f>SUM(C20:C26)</f>
        <v>11875</v>
      </c>
      <c r="D27" s="26"/>
      <c r="E27" s="27"/>
      <c r="J27" s="5"/>
      <c r="L27" s="7"/>
    </row>
    <row r="28" spans="1:13" x14ac:dyDescent="0.25">
      <c r="C28" s="19"/>
      <c r="D28" s="20"/>
      <c r="E28" s="20"/>
    </row>
    <row r="29" spans="1:13" x14ac:dyDescent="0.25">
      <c r="A29" t="s">
        <v>26</v>
      </c>
      <c r="C29" s="19">
        <f>C27+D24+D25</f>
        <v>31585</v>
      </c>
      <c r="D29" s="20"/>
      <c r="E29" s="20"/>
    </row>
    <row r="30" spans="1:13" x14ac:dyDescent="0.25">
      <c r="C30" s="19"/>
      <c r="D30" s="20"/>
      <c r="E30" s="20"/>
    </row>
    <row r="31" spans="1:13" x14ac:dyDescent="0.25">
      <c r="C31" s="19"/>
      <c r="D31" s="20"/>
      <c r="E31" s="20"/>
    </row>
    <row r="32" spans="1:13" x14ac:dyDescent="0.25">
      <c r="A32" t="s">
        <v>45</v>
      </c>
      <c r="C32" s="19">
        <f>D21</f>
        <v>240</v>
      </c>
    </row>
    <row r="33" spans="1:7" x14ac:dyDescent="0.25">
      <c r="A33" t="s">
        <v>29</v>
      </c>
      <c r="C33" s="19">
        <f>D22</f>
        <v>2200</v>
      </c>
    </row>
    <row r="34" spans="1:7" x14ac:dyDescent="0.25">
      <c r="C34" s="19">
        <f>SUM(C29:C33)</f>
        <v>34025</v>
      </c>
    </row>
    <row r="36" spans="1:7" x14ac:dyDescent="0.25">
      <c r="D36" s="20"/>
      <c r="G36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tabSelected="1" workbookViewId="0">
      <selection activeCell="C27" sqref="C27"/>
    </sheetView>
  </sheetViews>
  <sheetFormatPr defaultRowHeight="15" x14ac:dyDescent="0.25"/>
  <cols>
    <col min="1" max="1" width="37.5703125" bestFit="1" customWidth="1"/>
    <col min="2" max="2" width="12" customWidth="1"/>
    <col min="3" max="3" width="54.140625" bestFit="1" customWidth="1"/>
  </cols>
  <sheetData>
    <row r="1" spans="1:3" x14ac:dyDescent="0.25">
      <c r="A1" s="1" t="s">
        <v>50</v>
      </c>
    </row>
    <row r="2" spans="1:3" x14ac:dyDescent="0.25">
      <c r="A2" t="s">
        <v>80</v>
      </c>
      <c r="B2" s="19">
        <f>Dagredovisning!M52</f>
        <v>34255</v>
      </c>
    </row>
    <row r="3" spans="1:3" x14ac:dyDescent="0.25">
      <c r="A3" t="s">
        <v>85</v>
      </c>
      <c r="B3" s="19">
        <f>-Redovisning!C15</f>
        <v>-4631</v>
      </c>
      <c r="C3" t="s">
        <v>89</v>
      </c>
    </row>
    <row r="4" spans="1:3" x14ac:dyDescent="0.25">
      <c r="A4" t="s">
        <v>81</v>
      </c>
      <c r="B4" s="19">
        <v>820</v>
      </c>
    </row>
    <row r="5" spans="1:3" x14ac:dyDescent="0.25">
      <c r="A5" t="s">
        <v>82</v>
      </c>
      <c r="B5" s="19">
        <v>-240</v>
      </c>
    </row>
    <row r="6" spans="1:3" x14ac:dyDescent="0.25">
      <c r="A6" t="s">
        <v>83</v>
      </c>
      <c r="B6" s="19">
        <v>-2200</v>
      </c>
    </row>
    <row r="7" spans="1:3" x14ac:dyDescent="0.25">
      <c r="A7" t="s">
        <v>84</v>
      </c>
      <c r="B7" s="19">
        <v>-150</v>
      </c>
    </row>
    <row r="8" spans="1:3" ht="45" x14ac:dyDescent="0.25">
      <c r="A8" t="s">
        <v>86</v>
      </c>
      <c r="B8" s="19">
        <f>SUM(B2:B7)</f>
        <v>27854</v>
      </c>
      <c r="C8" s="38" t="s">
        <v>87</v>
      </c>
    </row>
    <row r="9" spans="1:3" x14ac:dyDescent="0.25">
      <c r="B9" s="19"/>
    </row>
    <row r="10" spans="1:3" x14ac:dyDescent="0.25">
      <c r="A10" t="s">
        <v>8</v>
      </c>
      <c r="B10" s="19"/>
      <c r="C10" s="5"/>
    </row>
    <row r="11" spans="1:3" x14ac:dyDescent="0.25">
      <c r="A11" t="s">
        <v>55</v>
      </c>
      <c r="B11" s="19"/>
      <c r="C11" t="s">
        <v>88</v>
      </c>
    </row>
    <row r="12" spans="1:3" x14ac:dyDescent="0.25">
      <c r="A12" t="s">
        <v>55</v>
      </c>
      <c r="B12" s="19">
        <v>2100</v>
      </c>
    </row>
    <row r="13" spans="1:3" x14ac:dyDescent="0.25">
      <c r="A13" t="s">
        <v>66</v>
      </c>
      <c r="B13" s="19">
        <v>130</v>
      </c>
    </row>
    <row r="14" spans="1:3" x14ac:dyDescent="0.25">
      <c r="A14" t="s">
        <v>13</v>
      </c>
      <c r="B14" s="19">
        <f>SUM(B11:B13)</f>
        <v>2230</v>
      </c>
    </row>
    <row r="15" spans="1:3" x14ac:dyDescent="0.25">
      <c r="B15" s="19"/>
    </row>
    <row r="16" spans="1:3" x14ac:dyDescent="0.25">
      <c r="A16" t="s">
        <v>56</v>
      </c>
      <c r="B16" s="19">
        <v>350</v>
      </c>
    </row>
    <row r="17" spans="1:3" x14ac:dyDescent="0.25">
      <c r="A17" t="s">
        <v>56</v>
      </c>
      <c r="B17" s="19">
        <v>350</v>
      </c>
    </row>
    <row r="18" spans="1:3" x14ac:dyDescent="0.25">
      <c r="A18" t="s">
        <v>23</v>
      </c>
      <c r="B18" s="19">
        <v>537</v>
      </c>
    </row>
    <row r="19" spans="1:3" x14ac:dyDescent="0.25">
      <c r="A19" t="s">
        <v>23</v>
      </c>
      <c r="B19" s="19">
        <v>630</v>
      </c>
    </row>
    <row r="20" spans="1:3" x14ac:dyDescent="0.25">
      <c r="A20" t="s">
        <v>23</v>
      </c>
      <c r="B20" s="19">
        <v>534</v>
      </c>
    </row>
    <row r="21" spans="1:3" x14ac:dyDescent="0.25">
      <c r="A21" t="s">
        <v>73</v>
      </c>
      <c r="B21" s="31">
        <f>SUM(B16:B20)</f>
        <v>2401</v>
      </c>
    </row>
    <row r="22" spans="1:3" x14ac:dyDescent="0.25">
      <c r="C22" s="5"/>
    </row>
    <row r="23" spans="1:3" x14ac:dyDescent="0.25">
      <c r="A23" t="s">
        <v>6</v>
      </c>
      <c r="B23" s="31">
        <f>B14+B21</f>
        <v>4631</v>
      </c>
    </row>
    <row r="26" spans="1:3" x14ac:dyDescent="0.25">
      <c r="A26" t="s">
        <v>90</v>
      </c>
      <c r="B26" s="31">
        <v>19190</v>
      </c>
      <c r="C26" s="39">
        <v>43194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Dagredovisning</vt:lpstr>
      <vt:lpstr>Redovisning</vt:lpstr>
      <vt:lpstr>Redovisning2</vt:lpstr>
      <vt:lpstr>Dagredovisning!Utskriftsområde</vt:lpstr>
      <vt:lpstr>Redovisning!Utskriftsområde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Maggan</dc:creator>
  <cp:lastModifiedBy>Admin</cp:lastModifiedBy>
  <cp:lastPrinted>2017-03-18T07:03:14Z</cp:lastPrinted>
  <dcterms:created xsi:type="dcterms:W3CDTF">2013-03-07T20:01:09Z</dcterms:created>
  <dcterms:modified xsi:type="dcterms:W3CDTF">2018-04-08T10:33:08Z</dcterms:modified>
</cp:coreProperties>
</file>